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albauman\Desktop\Forensic Cases\2025 Cases\25-55\"/>
    </mc:Choice>
  </mc:AlternateContent>
  <xr:revisionPtr revIDLastSave="0" documentId="13_ncr:1_{5D8E2515-13D8-4804-A158-EA16DC09A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otype A" sheetId="29" r:id="rId1"/>
  </sheets>
  <definedNames>
    <definedName name="_xlnm.Print_Area" localSheetId="0">'Genotype A'!$A$1:$R$39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24" i="29" l="1"/>
  <c r="H24" i="29"/>
  <c r="G24" i="29"/>
  <c r="D24" i="29"/>
  <c r="B24" i="29"/>
  <c r="O14" i="29"/>
  <c r="H14" i="29"/>
  <c r="G14" i="29"/>
  <c r="D14" i="29"/>
  <c r="B14" i="29"/>
  <c r="P24" i="29" l="1"/>
  <c r="L24" i="29"/>
  <c r="E24" i="29"/>
  <c r="K24" i="29"/>
  <c r="M24" i="29"/>
  <c r="F24" i="29"/>
  <c r="C24" i="29"/>
  <c r="J24" i="29" l="1"/>
  <c r="N24" i="29" l="1"/>
  <c r="I24" i="29" l="1"/>
  <c r="P10" i="29"/>
  <c r="O10" i="29"/>
  <c r="N10" i="29"/>
  <c r="M10" i="29"/>
  <c r="M14" i="29" s="1"/>
  <c r="L10" i="29"/>
  <c r="L14" i="29" s="1"/>
  <c r="K10" i="29"/>
  <c r="J10" i="29"/>
  <c r="I10" i="29"/>
  <c r="I14" i="29" s="1"/>
  <c r="H10" i="29"/>
  <c r="G10" i="29"/>
  <c r="F10" i="29"/>
  <c r="F14" i="29" s="1"/>
  <c r="E10" i="29"/>
  <c r="D10" i="29"/>
  <c r="C10" i="29"/>
  <c r="B10" i="29"/>
  <c r="P9" i="29"/>
  <c r="P14" i="29" s="1"/>
  <c r="O9" i="29"/>
  <c r="N9" i="29"/>
  <c r="N14" i="29" s="1"/>
  <c r="M9" i="29"/>
  <c r="L9" i="29"/>
  <c r="K9" i="29"/>
  <c r="J9" i="29"/>
  <c r="J14" i="29" s="1"/>
  <c r="I9" i="29"/>
  <c r="H9" i="29"/>
  <c r="G9" i="29"/>
  <c r="F9" i="29"/>
  <c r="E9" i="29"/>
  <c r="E14" i="29" s="1"/>
  <c r="D9" i="29"/>
  <c r="C9" i="29"/>
  <c r="C14" i="29" s="1"/>
  <c r="B9" i="29"/>
  <c r="K15" i="29" l="1"/>
  <c r="K14" i="29"/>
  <c r="G15" i="29"/>
  <c r="L15" i="29"/>
  <c r="M15" i="29" s="1"/>
  <c r="N15" i="29" s="1"/>
  <c r="O15" i="29" s="1"/>
  <c r="P15" i="29" s="1"/>
  <c r="C15" i="29"/>
  <c r="D15" i="29" s="1"/>
  <c r="E15" i="29" s="1"/>
  <c r="F15" i="29" s="1"/>
  <c r="Q26" i="29"/>
  <c r="R24" i="29" s="1"/>
  <c r="B16" i="29"/>
  <c r="B15" i="29"/>
  <c r="H15" i="29"/>
  <c r="I15" i="29" s="1"/>
  <c r="J15" i="29" s="1"/>
  <c r="B18" i="29" l="1"/>
  <c r="I28" i="29" s="1"/>
  <c r="C26" i="29"/>
  <c r="D26" i="29" s="1"/>
  <c r="C29" i="29" l="1"/>
  <c r="D29" i="29" s="1"/>
  <c r="E29" i="29" s="1"/>
  <c r="H28" i="29" s="1"/>
  <c r="C28" i="29"/>
  <c r="D28" i="29" s="1"/>
  <c r="E28" i="29" s="1"/>
  <c r="G28" i="29" s="1"/>
</calcChain>
</file>

<file path=xl/sharedStrings.xml><?xml version="1.0" encoding="utf-8"?>
<sst xmlns="http://schemas.openxmlformats.org/spreadsheetml/2006/main" count="103" uniqueCount="58">
  <si>
    <t>Allele/Locus</t>
  </si>
  <si>
    <t>Fst value</t>
  </si>
  <si>
    <t>Allele1 (frequency)</t>
  </si>
  <si>
    <t>Allele2 (frequency)</t>
  </si>
  <si>
    <t>P(het)</t>
  </si>
  <si>
    <t>P(hom)</t>
  </si>
  <si>
    <t>Appropriate Prob.</t>
  </si>
  <si>
    <t>Cumulative P</t>
  </si>
  <si>
    <t>Cum Product</t>
  </si>
  <si>
    <t>left</t>
  </si>
  <si>
    <t>right</t>
  </si>
  <si>
    <t>Cumulative Likelihood</t>
  </si>
  <si>
    <t>het</t>
  </si>
  <si>
    <t>hom</t>
  </si>
  <si>
    <t xml:space="preserve">Confidence Interval </t>
  </si>
  <si>
    <t>Sum</t>
  </si>
  <si>
    <t>SQRT</t>
  </si>
  <si>
    <t>freq</t>
  </si>
  <si>
    <t>CI +</t>
  </si>
  <si>
    <t>CI -</t>
  </si>
  <si>
    <t>likelihood falls within this range</t>
  </si>
  <si>
    <t>Individual</t>
  </si>
  <si>
    <t>Conf</t>
  </si>
  <si>
    <t>Yes</t>
  </si>
  <si>
    <t xml:space="preserve">SOP WFp16 </t>
  </si>
  <si>
    <t>OheT256-V</t>
  </si>
  <si>
    <t>OheC273-M</t>
  </si>
  <si>
    <t>OheT7-P</t>
  </si>
  <si>
    <t>OheC229a-L</t>
  </si>
  <si>
    <t>DeerC143-F</t>
  </si>
  <si>
    <t>OheT217-K</t>
  </si>
  <si>
    <t>OheT27R-N</t>
  </si>
  <si>
    <t>OarFCB193</t>
  </si>
  <si>
    <t>OheC89-D</t>
  </si>
  <si>
    <t>OheC186-J</t>
  </si>
  <si>
    <t>DeerC50-C</t>
  </si>
  <si>
    <t>OheC10-B</t>
  </si>
  <si>
    <t>OheT159-O</t>
  </si>
  <si>
    <t>OheT32-Q</t>
  </si>
  <si>
    <t>OheC165-H</t>
  </si>
  <si>
    <t>1414</t>
  </si>
  <si>
    <t>1515</t>
  </si>
  <si>
    <t>1010</t>
  </si>
  <si>
    <t xml:space="preserve">Analysts Initials: </t>
  </si>
  <si>
    <t>1415</t>
  </si>
  <si>
    <t>1516</t>
  </si>
  <si>
    <t>1818</t>
  </si>
  <si>
    <t>1213</t>
  </si>
  <si>
    <t>WY MD Reg 3</t>
  </si>
  <si>
    <t>25-55 #1 (known)</t>
  </si>
  <si>
    <t>25-55 #2</t>
  </si>
  <si>
    <t>1420</t>
  </si>
  <si>
    <t>1320</t>
  </si>
  <si>
    <t>1315</t>
  </si>
  <si>
    <t>2122</t>
  </si>
  <si>
    <t>1212</t>
  </si>
  <si>
    <t>1217</t>
  </si>
  <si>
    <t>25-55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</si>
</sst>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9"/>
      <name val="Geneva"/>
    </font>
    <font>
      <b/>
      <sz val="12"/>
      <name val="Geneva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3" borderId="3" xfId="0" applyFill="1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Border="1"/>
    <xf numFmtId="0" fontId="0" fillId="0" borderId="6" xfId="0" applyBorder="1"/>
    <xf numFmtId="0" fontId="1" fillId="0" borderId="7" xfId="0" applyFont="1" applyBorder="1"/>
    <xf numFmtId="0" fontId="0" fillId="0" borderId="5" xfId="0" applyBorder="1"/>
    <xf numFmtId="0" fontId="0" fillId="0" borderId="7" xfId="0" applyBorder="1"/>
    <xf numFmtId="0" fontId="2" fillId="0" borderId="9" xfId="0" applyFont="1" applyBorder="1"/>
    <xf numFmtId="3" fontId="0" fillId="0" borderId="0" xfId="0" applyNumberFormat="1"/>
    <xf numFmtId="0" fontId="3" fillId="0" borderId="0" xfId="0" applyFont="1"/>
    <xf numFmtId="0" fontId="4" fillId="0" borderId="0" xfId="0" applyFont="1" applyFill="1" applyBorder="1"/>
    <xf numFmtId="1" fontId="4" fillId="0" borderId="0" xfId="0" applyNumberFormat="1" applyFont="1"/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Border="1"/>
    <xf numFmtId="1" fontId="0" fillId="0" borderId="0" xfId="0" applyNumberFormat="1" applyBorder="1"/>
    <xf numFmtId="1" fontId="5" fillId="0" borderId="0" xfId="0" applyNumberFormat="1" applyFont="1" applyBorder="1"/>
    <xf numFmtId="11" fontId="3" fillId="0" borderId="0" xfId="0" applyNumberFormat="1" applyFont="1"/>
    <xf numFmtId="0" fontId="0" fillId="0" borderId="0" xfId="0" applyFill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 applyBorder="1"/>
    <xf numFmtId="3" fontId="7" fillId="0" borderId="1" xfId="0" applyNumberFormat="1" applyFont="1" applyBorder="1"/>
    <xf numFmtId="3" fontId="7" fillId="0" borderId="11" xfId="0" applyNumberFormat="1" applyFont="1" applyBorder="1"/>
    <xf numFmtId="3" fontId="7" fillId="0" borderId="10" xfId="0" applyNumberFormat="1" applyFont="1" applyBorder="1"/>
    <xf numFmtId="0" fontId="0" fillId="0" borderId="0" xfId="0" applyFill="1" applyAlignment="1">
      <alignment horizontal="left"/>
    </xf>
    <xf numFmtId="16" fontId="5" fillId="0" borderId="0" xfId="0" applyNumberFormat="1" applyFont="1"/>
    <xf numFmtId="0" fontId="5" fillId="0" borderId="0" xfId="0" applyFont="1"/>
    <xf numFmtId="49" fontId="5" fillId="2" borderId="0" xfId="0" applyNumberFormat="1" applyFont="1" applyFill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5" fillId="0" borderId="6" xfId="0" applyFont="1" applyBorder="1"/>
    <xf numFmtId="0" fontId="5" fillId="0" borderId="0" xfId="0" applyFont="1" applyFill="1" applyBorder="1"/>
    <xf numFmtId="0" fontId="8" fillId="0" borderId="8" xfId="0" applyFont="1" applyBorder="1"/>
  </cellXfs>
  <cellStyles count="1">
    <cellStyle name="Normal" xfId="0" builtinId="0"/>
  </cellStyles>
  <dxfs count="0"/>
  <tableStyles count="0" defaultTableStyle="TableStyleMedium9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789215</xdr:colOff>
      <xdr:row>31</xdr:row>
      <xdr:rowOff>149679</xdr:rowOff>
    </xdr:from>
    <xdr:to>
      <xdr:col>0</xdr:col>
      <xdr:colOff>1020537</xdr:colOff>
      <xdr:row>33</xdr:row>
      <xdr:rowOff>27216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9215" y="5245554"/>
          <a:ext cx="231322" cy="20138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view="pageLayout" zoomScale="90" zoomScaleNormal="80" zoomScalePageLayoutView="90" workbookViewId="0">
      <selection activeCell="L29" sqref="L29"/>
    </sheetView>
  </sheetViews>
  <sheetFormatPr defaultColWidth="8.85546875" defaultRowHeight="12.75"/>
  <cols>
    <col min="1" max="1" width="21.85546875" customWidth="1"/>
    <col min="2" max="2" width="14.5703125" customWidth="1"/>
    <col min="3" max="3" width="13.140625" customWidth="1"/>
    <col min="4" max="4" width="12.42578125" customWidth="1"/>
    <col min="5" max="5" width="16.42578125" customWidth="1"/>
    <col min="6" max="6" width="14.5703125" customWidth="1"/>
    <col min="7" max="7" width="16.140625" customWidth="1"/>
    <col min="8" max="8" width="20.5703125" customWidth="1"/>
    <col min="9" max="9" width="18.140625" customWidth="1"/>
    <col min="10" max="10" width="13.140625" customWidth="1"/>
    <col min="11" max="13" width="12.42578125" customWidth="1"/>
    <col min="14" max="14" width="11.85546875" customWidth="1"/>
    <col min="15" max="15" width="10.28515625" customWidth="1"/>
    <col min="16" max="16" width="11.28515625" customWidth="1"/>
    <col min="17" max="17" width="12.7109375" customWidth="1"/>
  </cols>
  <sheetData>
    <row r="1" spans="1:18">
      <c r="A1" t="s">
        <v>0</v>
      </c>
      <c r="D1" s="31" t="s">
        <v>57</v>
      </c>
      <c r="E1" s="32" t="s">
        <v>48</v>
      </c>
    </row>
    <row r="2" spans="1:18">
      <c r="A2" s="1"/>
      <c r="B2" s="24" t="s">
        <v>25</v>
      </c>
      <c r="C2" s="24" t="s">
        <v>26</v>
      </c>
      <c r="D2" s="24" t="s">
        <v>27</v>
      </c>
      <c r="E2" s="24" t="s">
        <v>28</v>
      </c>
      <c r="F2" s="24" t="s">
        <v>29</v>
      </c>
      <c r="G2" s="24" t="s">
        <v>30</v>
      </c>
      <c r="H2" s="24" t="s">
        <v>31</v>
      </c>
      <c r="I2" s="24" t="s">
        <v>32</v>
      </c>
      <c r="J2" s="24" t="s">
        <v>33</v>
      </c>
      <c r="K2" s="24" t="s">
        <v>34</v>
      </c>
      <c r="L2" s="24" t="s">
        <v>35</v>
      </c>
      <c r="M2" s="24" t="s">
        <v>36</v>
      </c>
      <c r="N2" s="25" t="s">
        <v>37</v>
      </c>
      <c r="O2" s="25" t="s">
        <v>38</v>
      </c>
      <c r="P2" s="25" t="s">
        <v>39</v>
      </c>
      <c r="Q2" s="17" t="s">
        <v>21</v>
      </c>
      <c r="R2" s="17" t="s">
        <v>22</v>
      </c>
    </row>
    <row r="3" spans="1:18">
      <c r="A3" s="32" t="s">
        <v>49</v>
      </c>
      <c r="B3" s="33" t="s">
        <v>40</v>
      </c>
      <c r="C3" s="33" t="s">
        <v>51</v>
      </c>
      <c r="D3" s="33" t="s">
        <v>45</v>
      </c>
      <c r="E3" s="33" t="s">
        <v>52</v>
      </c>
      <c r="F3" s="33" t="s">
        <v>40</v>
      </c>
      <c r="G3" s="33" t="s">
        <v>53</v>
      </c>
      <c r="H3" s="33" t="s">
        <v>54</v>
      </c>
      <c r="I3" s="33" t="s">
        <v>42</v>
      </c>
      <c r="J3" s="33" t="s">
        <v>45</v>
      </c>
      <c r="K3" s="33" t="s">
        <v>44</v>
      </c>
      <c r="L3" s="33" t="s">
        <v>46</v>
      </c>
      <c r="M3" s="34" t="s">
        <v>55</v>
      </c>
      <c r="N3" s="34" t="s">
        <v>56</v>
      </c>
      <c r="O3" s="34" t="s">
        <v>41</v>
      </c>
      <c r="P3" s="34" t="s">
        <v>47</v>
      </c>
      <c r="Q3" s="22"/>
    </row>
    <row r="4" spans="1:18">
      <c r="A4" s="32" t="s">
        <v>50</v>
      </c>
      <c r="B4" s="34" t="s">
        <v>40</v>
      </c>
      <c r="C4" s="34" t="s">
        <v>51</v>
      </c>
      <c r="D4" s="34" t="s">
        <v>45</v>
      </c>
      <c r="E4" s="34" t="s">
        <v>52</v>
      </c>
      <c r="F4" s="34" t="s">
        <v>40</v>
      </c>
      <c r="G4" s="34" t="s">
        <v>53</v>
      </c>
      <c r="H4" s="34" t="s">
        <v>54</v>
      </c>
      <c r="I4" s="34" t="s">
        <v>42</v>
      </c>
      <c r="J4" s="34" t="s">
        <v>45</v>
      </c>
      <c r="K4" s="34" t="s">
        <v>44</v>
      </c>
      <c r="L4" s="34" t="s">
        <v>46</v>
      </c>
      <c r="M4" s="34" t="s">
        <v>55</v>
      </c>
      <c r="N4" s="34" t="s">
        <v>56</v>
      </c>
      <c r="O4" s="34" t="s">
        <v>41</v>
      </c>
      <c r="P4" s="34" t="s">
        <v>47</v>
      </c>
      <c r="Q4" s="22">
        <v>6889734421</v>
      </c>
      <c r="R4" t="s">
        <v>23</v>
      </c>
    </row>
    <row r="5" spans="1:18">
      <c r="R5" s="30"/>
    </row>
    <row r="6" spans="1:18">
      <c r="A6" s="2" t="s">
        <v>1</v>
      </c>
      <c r="B6" s="3">
        <v>0.03</v>
      </c>
      <c r="C6" s="3">
        <v>0.03</v>
      </c>
      <c r="D6" s="3">
        <v>0.03</v>
      </c>
      <c r="E6" s="3">
        <v>0.03</v>
      </c>
      <c r="F6" s="3">
        <v>0.03</v>
      </c>
      <c r="G6" s="3">
        <v>0.03</v>
      </c>
      <c r="H6" s="3">
        <v>0.03</v>
      </c>
      <c r="I6" s="3">
        <v>0.03</v>
      </c>
      <c r="J6" s="3">
        <v>0.03</v>
      </c>
      <c r="K6" s="3">
        <v>0.03</v>
      </c>
      <c r="L6" s="3">
        <v>0.03</v>
      </c>
      <c r="M6" s="3">
        <v>0.03</v>
      </c>
      <c r="N6" s="3">
        <v>0.03</v>
      </c>
      <c r="O6" s="3">
        <v>0.03</v>
      </c>
      <c r="P6" s="3">
        <v>0.03</v>
      </c>
    </row>
    <row r="7" spans="1:18">
      <c r="A7" s="4" t="s">
        <v>2</v>
      </c>
      <c r="B7" s="23">
        <v>0.67600000000000005</v>
      </c>
      <c r="C7">
        <v>0.60499999999999998</v>
      </c>
      <c r="D7" s="23">
        <v>0.61899999999999999</v>
      </c>
      <c r="E7" s="23">
        <v>0.5</v>
      </c>
      <c r="F7">
        <v>0.95199999999999996</v>
      </c>
      <c r="G7">
        <v>0.31</v>
      </c>
      <c r="H7" s="23">
        <v>9.5000000000000001E-2</v>
      </c>
      <c r="I7" s="23">
        <v>1</v>
      </c>
      <c r="J7" s="23">
        <v>0.61899999999999999</v>
      </c>
      <c r="K7" s="23">
        <v>0.26200000000000001</v>
      </c>
      <c r="L7" s="23">
        <v>0.71399999999999997</v>
      </c>
      <c r="M7" s="23">
        <v>0.71399999999999997</v>
      </c>
      <c r="N7" s="23">
        <v>0.14299999999999999</v>
      </c>
      <c r="O7" s="23">
        <v>0.1</v>
      </c>
      <c r="P7" s="23">
        <v>0.71399999999999997</v>
      </c>
    </row>
    <row r="8" spans="1:18">
      <c r="A8" s="5" t="s">
        <v>3</v>
      </c>
      <c r="B8" s="23">
        <v>0.67600000000000005</v>
      </c>
      <c r="C8">
        <v>0.105</v>
      </c>
      <c r="D8" s="23">
        <v>7.0999999999999994E-2</v>
      </c>
      <c r="E8" s="23">
        <v>0.42899999999999999</v>
      </c>
      <c r="F8">
        <v>0.95199999999999996</v>
      </c>
      <c r="G8">
        <v>0.19</v>
      </c>
      <c r="H8" s="23">
        <v>9.5000000000000001E-2</v>
      </c>
      <c r="I8" s="23">
        <v>1</v>
      </c>
      <c r="J8" s="23">
        <v>0.214</v>
      </c>
      <c r="K8" s="23">
        <v>0.73799999999999999</v>
      </c>
      <c r="L8" s="23">
        <v>0.71399999999999997</v>
      </c>
      <c r="M8" s="23">
        <v>0.71399999999999997</v>
      </c>
      <c r="N8" s="23">
        <v>9.5000000000000001E-2</v>
      </c>
      <c r="O8" s="26">
        <v>0.1</v>
      </c>
      <c r="P8" s="26">
        <v>0.28599999999999998</v>
      </c>
    </row>
    <row r="9" spans="1:18">
      <c r="A9" s="4" t="s">
        <v>4</v>
      </c>
      <c r="B9" s="7">
        <f t="shared" ref="B9:O9" si="0">(2*(B6+((1-B6)*B7))*(B6+((1-B6)*B8)))/((1+B6)*(1+(2*B6)))</f>
        <v>0.86135174647371338</v>
      </c>
      <c r="C9" s="7">
        <f t="shared" si="0"/>
        <v>0.14898639402821026</v>
      </c>
      <c r="D9" s="7">
        <f t="shared" si="0"/>
        <v>0.11417954588752517</v>
      </c>
      <c r="E9" s="7">
        <f t="shared" si="0"/>
        <v>0.42087735849056601</v>
      </c>
      <c r="F9" s="7">
        <f t="shared" si="0"/>
        <v>1.6652277589302067</v>
      </c>
      <c r="G9" s="7">
        <f t="shared" si="0"/>
        <v>0.1298204982597545</v>
      </c>
      <c r="H9" s="7">
        <f t="shared" si="0"/>
        <v>2.7332153324784756E-2</v>
      </c>
      <c r="I9" s="7">
        <f t="shared" si="0"/>
        <v>1.8318373328448432</v>
      </c>
      <c r="J9" s="7">
        <f t="shared" si="0"/>
        <v>0.27436812493130608</v>
      </c>
      <c r="K9" s="7">
        <f t="shared" si="0"/>
        <v>0.38821883202051644</v>
      </c>
      <c r="L9" s="7">
        <f t="shared" si="0"/>
        <v>0.95644230884777415</v>
      </c>
      <c r="M9" s="7">
        <f t="shared" si="0"/>
        <v>0.95644230884777415</v>
      </c>
      <c r="N9" s="7">
        <f t="shared" si="0"/>
        <v>3.7750369115222553E-2</v>
      </c>
      <c r="O9" s="7">
        <f t="shared" si="0"/>
        <v>2.9545704341454478E-2</v>
      </c>
      <c r="P9" s="7">
        <f>(2*(P6+((1-P6)*P7))*(P6+((1-P6)*P8)))/((1+P6)*(1+(2*P6)))</f>
        <v>0.40691618171826327</v>
      </c>
    </row>
    <row r="10" spans="1:18">
      <c r="A10" s="8" t="s">
        <v>5</v>
      </c>
      <c r="B10" s="6">
        <f>(((2*B6)+((1-B6)*B7))*((3*B6)+((1-B6)*B7)))/((1+B6)*(1+(2*B6)))</f>
        <v>0.48885026415094351</v>
      </c>
      <c r="C10" s="6">
        <f t="shared" ref="C10:P10" si="1">(((2*C6)+((1-C6)*C7))*((3*C6)+((1-C6)*C7)))/((1+C6)*(1+2*C6))</f>
        <v>0.40100789750870114</v>
      </c>
      <c r="D10" s="6">
        <f t="shared" si="1"/>
        <v>0.41764122082799049</v>
      </c>
      <c r="E10" s="6">
        <f t="shared" si="1"/>
        <v>0.28702601209012635</v>
      </c>
      <c r="F10" s="6">
        <f t="shared" si="1"/>
        <v>0.91285714746290503</v>
      </c>
      <c r="G10" s="6">
        <f t="shared" si="1"/>
        <v>0.12907628686572628</v>
      </c>
      <c r="H10" s="6">
        <f t="shared" si="1"/>
        <v>2.5383882121267628E-2</v>
      </c>
      <c r="I10" s="6">
        <f t="shared" si="1"/>
        <v>1</v>
      </c>
      <c r="J10" s="6">
        <f t="shared" si="1"/>
        <v>0.41764122082799049</v>
      </c>
      <c r="K10" s="6">
        <f t="shared" si="1"/>
        <v>9.9018263051840971E-2</v>
      </c>
      <c r="L10" s="6">
        <f t="shared" si="1"/>
        <v>0.53943401392196366</v>
      </c>
      <c r="M10" s="6">
        <f t="shared" si="1"/>
        <v>0.53943401392196366</v>
      </c>
      <c r="N10" s="6">
        <f t="shared" si="1"/>
        <v>4.162572275141966E-2</v>
      </c>
      <c r="O10" s="6">
        <f t="shared" si="1"/>
        <v>2.6890456127495875E-2</v>
      </c>
      <c r="P10" s="6">
        <f t="shared" si="1"/>
        <v>0.53943401392196366</v>
      </c>
    </row>
    <row r="11" spans="1:18">
      <c r="N11" s="6"/>
      <c r="O11" s="6"/>
      <c r="P11" s="6"/>
    </row>
    <row r="12" spans="1:18">
      <c r="A12" s="9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6"/>
      <c r="O12" s="6"/>
      <c r="P12" s="6"/>
    </row>
    <row r="13" spans="1:18">
      <c r="A13" s="10"/>
      <c r="B13" s="6"/>
      <c r="C13" s="6"/>
      <c r="D13" s="6"/>
      <c r="E13" s="6"/>
      <c r="F13" s="6"/>
      <c r="N13" s="7"/>
      <c r="O13" s="7"/>
      <c r="P13" s="7"/>
    </row>
    <row r="14" spans="1:18">
      <c r="A14" s="10" t="s">
        <v>6</v>
      </c>
      <c r="B14" s="6">
        <f>B10</f>
        <v>0.48885026415094351</v>
      </c>
      <c r="C14" s="6">
        <f>C9</f>
        <v>0.14898639402821026</v>
      </c>
      <c r="D14" s="6">
        <f>D9</f>
        <v>0.11417954588752517</v>
      </c>
      <c r="E14" s="6">
        <f>E9</f>
        <v>0.42087735849056601</v>
      </c>
      <c r="F14" s="6">
        <f t="shared" ref="D14:I14" si="2">F10</f>
        <v>0.91285714746290503</v>
      </c>
      <c r="G14" s="6">
        <f>G9</f>
        <v>0.1298204982597545</v>
      </c>
      <c r="H14" s="6">
        <f>H9</f>
        <v>2.7332153324784756E-2</v>
      </c>
      <c r="I14" s="6">
        <f t="shared" si="2"/>
        <v>1</v>
      </c>
      <c r="J14" s="6">
        <f>J9</f>
        <v>0.27436812493130608</v>
      </c>
      <c r="K14" s="6">
        <f>K9</f>
        <v>0.38821883202051644</v>
      </c>
      <c r="L14" s="6">
        <f>L10</f>
        <v>0.53943401392196366</v>
      </c>
      <c r="M14" s="6">
        <f>M10</f>
        <v>0.53943401392196366</v>
      </c>
      <c r="N14" s="26">
        <f>N9</f>
        <v>3.7750369115222553E-2</v>
      </c>
      <c r="O14" s="26">
        <f>O10</f>
        <v>2.6890456127495875E-2</v>
      </c>
      <c r="P14" s="26">
        <f>P9</f>
        <v>0.40691618171826327</v>
      </c>
    </row>
    <row r="15" spans="1:18">
      <c r="A15" s="10" t="s">
        <v>7</v>
      </c>
      <c r="B15" s="6">
        <f>B14</f>
        <v>0.48885026415094351</v>
      </c>
      <c r="C15" s="6">
        <f>C9</f>
        <v>0.14898639402821026</v>
      </c>
      <c r="D15" s="6">
        <f t="shared" ref="D15:I15" si="3">C15*D14</f>
        <v>1.7011198813560939E-2</v>
      </c>
      <c r="E15" s="6">
        <f t="shared" si="3"/>
        <v>7.1596284214093782E-3</v>
      </c>
      <c r="F15" s="6">
        <f t="shared" si="3"/>
        <v>6.5357179776621066E-3</v>
      </c>
      <c r="G15" s="6">
        <f>G10</f>
        <v>0.12907628686572628</v>
      </c>
      <c r="H15" s="6">
        <f t="shared" si="3"/>
        <v>3.5279328632079315E-3</v>
      </c>
      <c r="I15" s="6">
        <f t="shared" si="3"/>
        <v>3.5279328632079315E-3</v>
      </c>
      <c r="J15" s="6">
        <f>I15*J14</f>
        <v>9.6795232456189408E-4</v>
      </c>
      <c r="K15" s="6">
        <f>K9</f>
        <v>0.38821883202051644</v>
      </c>
      <c r="L15" s="6">
        <f t="shared" ref="L15:P15" si="4">K15*L14</f>
        <v>0.20941844283692373</v>
      </c>
      <c r="M15" s="6">
        <f t="shared" si="4"/>
        <v>0.11296743120880907</v>
      </c>
      <c r="N15" s="6">
        <f t="shared" si="4"/>
        <v>4.2645622261310544E-3</v>
      </c>
      <c r="O15" s="6">
        <f t="shared" si="4"/>
        <v>1.1467602344475326E-4</v>
      </c>
      <c r="P15" s="6">
        <f t="shared" si="4"/>
        <v>4.6663529594773035E-5</v>
      </c>
    </row>
    <row r="16" spans="1:18">
      <c r="A16" s="10" t="s">
        <v>8</v>
      </c>
      <c r="B16" s="6">
        <f>PRODUCT(B14:R14)</f>
        <v>1.4514347562072701E-10</v>
      </c>
      <c r="C16" s="6"/>
      <c r="D16" s="6"/>
      <c r="E16" s="6"/>
      <c r="F16" s="6"/>
    </row>
    <row r="17" spans="1:18" ht="13.5" thickBot="1">
      <c r="A17" s="10"/>
      <c r="B17" s="6"/>
      <c r="C17" s="6"/>
    </row>
    <row r="18" spans="1:18" ht="16.5" thickBot="1">
      <c r="A18" s="37" t="s">
        <v>11</v>
      </c>
      <c r="B18" s="11">
        <f>1/B16</f>
        <v>6889734421.222558</v>
      </c>
      <c r="C18" s="6"/>
    </row>
    <row r="21" spans="1:18" s="1" customFormat="1">
      <c r="N21"/>
    </row>
    <row r="22" spans="1:18">
      <c r="B22" s="32" t="s">
        <v>13</v>
      </c>
      <c r="C22" s="32" t="s">
        <v>12</v>
      </c>
      <c r="D22" s="32" t="s">
        <v>12</v>
      </c>
      <c r="E22" s="32" t="s">
        <v>12</v>
      </c>
      <c r="F22" s="32" t="s">
        <v>13</v>
      </c>
      <c r="G22" s="32" t="s">
        <v>12</v>
      </c>
      <c r="H22" s="32" t="s">
        <v>12</v>
      </c>
      <c r="I22" s="32" t="s">
        <v>13</v>
      </c>
      <c r="J22" s="32" t="s">
        <v>12</v>
      </c>
      <c r="K22" s="32" t="s">
        <v>12</v>
      </c>
      <c r="L22" s="32" t="s">
        <v>13</v>
      </c>
      <c r="M22" s="32" t="s">
        <v>13</v>
      </c>
      <c r="N22" s="35" t="s">
        <v>12</v>
      </c>
      <c r="O22" s="36" t="s">
        <v>13</v>
      </c>
      <c r="P22" s="36" t="s">
        <v>12</v>
      </c>
    </row>
    <row r="23" spans="1:18">
      <c r="A23" s="13" t="s">
        <v>14</v>
      </c>
      <c r="B23" s="34" t="s">
        <v>40</v>
      </c>
      <c r="C23" s="34" t="s">
        <v>51</v>
      </c>
      <c r="D23" s="34" t="s">
        <v>45</v>
      </c>
      <c r="E23" s="34" t="s">
        <v>52</v>
      </c>
      <c r="F23" s="34" t="s">
        <v>40</v>
      </c>
      <c r="G23" s="34" t="s">
        <v>53</v>
      </c>
      <c r="H23" s="34" t="s">
        <v>54</v>
      </c>
      <c r="I23" s="34" t="s">
        <v>42</v>
      </c>
      <c r="J23" s="34" t="s">
        <v>45</v>
      </c>
      <c r="K23" s="34" t="s">
        <v>44</v>
      </c>
      <c r="L23" s="34" t="s">
        <v>46</v>
      </c>
      <c r="M23" s="34" t="s">
        <v>55</v>
      </c>
      <c r="N23" s="34" t="s">
        <v>56</v>
      </c>
      <c r="O23" s="34" t="s">
        <v>41</v>
      </c>
      <c r="P23" s="34" t="s">
        <v>47</v>
      </c>
      <c r="Q23" s="1"/>
      <c r="R23" t="s">
        <v>16</v>
      </c>
    </row>
    <row r="24" spans="1:18">
      <c r="B24">
        <f t="shared" ref="B24:I24" si="5">(1-B7)/(2*24*B7)</f>
        <v>9.9852071005917149E-3</v>
      </c>
      <c r="C24">
        <f t="shared" ref="B24:K24" si="6">(C7+C8-(4*C7*C8))/(2*23*C7*C8)</f>
        <v>0.15601526273463032</v>
      </c>
      <c r="D24">
        <f t="shared" si="6"/>
        <v>0.25434817233809548</v>
      </c>
      <c r="E24">
        <f t="shared" si="6"/>
        <v>7.1957028478767679E-3</v>
      </c>
      <c r="F24">
        <f t="shared" si="5"/>
        <v>1.0504201680672279E-3</v>
      </c>
      <c r="G24">
        <f t="shared" si="6"/>
        <v>9.7586181442385761E-2</v>
      </c>
      <c r="H24">
        <f t="shared" si="6"/>
        <v>0.37070938215102978</v>
      </c>
      <c r="I24">
        <f t="shared" si="5"/>
        <v>0</v>
      </c>
      <c r="J24">
        <f t="shared" si="6"/>
        <v>4.9747958294794593E-2</v>
      </c>
      <c r="K24">
        <f t="shared" si="6"/>
        <v>2.547407485359288E-2</v>
      </c>
      <c r="L24">
        <f t="shared" ref="L24" si="7">(1-L7)/(2*24*L7)</f>
        <v>8.3450046685340819E-3</v>
      </c>
      <c r="M24">
        <f>(1-M7)/(2*24*M7)</f>
        <v>8.3450046685340819E-3</v>
      </c>
      <c r="N24">
        <f t="shared" ref="N24:P24" si="8">(N7+N8-(4*N7*N8))/(2*23*N7*N8)</f>
        <v>0.29389832135827559</v>
      </c>
      <c r="O24">
        <f>(1-O7)/(2*24*O7)</f>
        <v>0.18749999999999997</v>
      </c>
      <c r="P24">
        <f t="shared" si="8"/>
        <v>1.9501385230285502E-2</v>
      </c>
      <c r="R24">
        <f>SQRT(Q26)</f>
        <v>1.2205335218078583</v>
      </c>
    </row>
    <row r="25" spans="1:18">
      <c r="Q25" t="s">
        <v>15</v>
      </c>
    </row>
    <row r="26" spans="1:18">
      <c r="B26" t="s">
        <v>17</v>
      </c>
      <c r="C26">
        <f>B16</f>
        <v>1.4514347562072701E-10</v>
      </c>
      <c r="D26">
        <f>LN(C26)</f>
        <v>-22.653298375688088</v>
      </c>
      <c r="Q26">
        <f>B24+C24+D24+E24+F24+G24+H24+I24+J24+K24+L24+M24+N24+O24+P24</f>
        <v>1.4897020778566936</v>
      </c>
    </row>
    <row r="27" spans="1:18">
      <c r="G27" s="6" t="s">
        <v>9</v>
      </c>
      <c r="H27" s="6" t="s">
        <v>10</v>
      </c>
      <c r="I27" t="s">
        <v>20</v>
      </c>
      <c r="K27" s="6"/>
      <c r="L27" s="6"/>
      <c r="M27" s="6"/>
    </row>
    <row r="28" spans="1:18">
      <c r="B28" t="s">
        <v>18</v>
      </c>
      <c r="C28">
        <f>D26+1.96*R24</f>
        <v>-20.261052672944686</v>
      </c>
      <c r="D28">
        <f>EXP(C28)</f>
        <v>1.5875836828500469E-9</v>
      </c>
      <c r="E28">
        <f>1/D28</f>
        <v>629888056.17149544</v>
      </c>
      <c r="G28" s="27">
        <f>E28</f>
        <v>629888056.17149544</v>
      </c>
      <c r="H28" s="28">
        <f>E29</f>
        <v>75360121421.408783</v>
      </c>
      <c r="I28" s="29">
        <f>B18</f>
        <v>6889734421.222558</v>
      </c>
      <c r="K28" s="20"/>
      <c r="L28" s="21"/>
      <c r="M28" s="20"/>
    </row>
    <row r="29" spans="1:18">
      <c r="B29" t="s">
        <v>19</v>
      </c>
      <c r="C29">
        <f>D26-1.96*R24</f>
        <v>-25.04554407843149</v>
      </c>
      <c r="D29">
        <f>EXP(C29)</f>
        <v>1.3269617685566965E-11</v>
      </c>
      <c r="E29">
        <f>1/D29</f>
        <v>75360121421.408783</v>
      </c>
      <c r="J29" s="12"/>
      <c r="N29" s="6"/>
    </row>
    <row r="30" spans="1:18">
      <c r="I30" s="18"/>
      <c r="J30" s="19"/>
      <c r="K30" s="15"/>
      <c r="L30" s="16"/>
      <c r="N30" s="6"/>
    </row>
    <row r="31" spans="1:18">
      <c r="A31" s="32" t="s">
        <v>43</v>
      </c>
      <c r="I31" s="18"/>
      <c r="J31" s="19"/>
    </row>
    <row r="32" spans="1:18">
      <c r="I32" s="18"/>
      <c r="J32" s="18"/>
    </row>
    <row r="33" spans="1:10">
      <c r="A33" t="s">
        <v>24</v>
      </c>
      <c r="I33" s="18"/>
      <c r="J33" s="18"/>
    </row>
    <row r="34" spans="1:10">
      <c r="I34" s="14"/>
    </row>
  </sheetData>
  <pageMargins left="0.7" right="0.7" top="0.75" bottom="0.75" header="0.3" footer="0.3"/>
  <pageSetup scale="49" orientation="landscape" horizontalDpi="300" verticalDpi="300" r:id="rId1"/>
  <headerFooter>
    <oddHeader>&amp;LGenotype A&amp;RStatistical Analysis
WFf16_1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Genotype A</vt:lpstr>
      <vt:lpstr>'Genotype A'!Print_Area</vt:lpstr>
    </vt:vector>
  </TitlesOfParts>
  <Company>BHSU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carolynferrell</dc:creator>
  <cp:lastModifiedBy>Tasha Bauman</cp:lastModifiedBy>
  <cp:lastPrinted>2025-10-20T16:32:36Z</cp:lastPrinted>
  <dcterms:created xsi:type="dcterms:W3CDTF">2010-05-05T16:37:56Z</dcterms:created>
  <dcterms:modified xsi:type="dcterms:W3CDTF">2025-12-22T21:32:38Z</dcterms:modified>
</cp:coreProperties>
</file>